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P&amp;A Documents\Annual Report\FY20\"/>
    </mc:Choice>
  </mc:AlternateContent>
  <xr:revisionPtr revIDLastSave="0" documentId="13_ncr:1_{D0514A3B-D98C-409D-BF51-D5CE081373A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tmts of SH Equity" sheetId="1" r:id="rId1"/>
  </sheets>
  <definedNames>
    <definedName name="_xlnm.Print_Titles" localSheetId="0">'Stmts of SH Equity'!$3:$7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7" i="1" s="1"/>
  <c r="F14" i="1"/>
  <c r="F11" i="1"/>
  <c r="I17" i="1"/>
  <c r="H17" i="1"/>
  <c r="G17" i="1"/>
  <c r="F8" i="1"/>
  <c r="J16" i="1"/>
  <c r="J15" i="1"/>
  <c r="J14" i="1"/>
  <c r="J12" i="1"/>
  <c r="J11" i="1"/>
  <c r="J10" i="1"/>
  <c r="J9" i="1"/>
  <c r="J17" i="1" s="1"/>
  <c r="J80" i="1"/>
  <c r="F89" i="1" l="1"/>
  <c r="F88" i="1"/>
  <c r="F87" i="1"/>
  <c r="F85" i="1"/>
  <c r="F84" i="1"/>
  <c r="F79" i="1"/>
  <c r="F78" i="1"/>
  <c r="F76" i="1"/>
  <c r="F75" i="1"/>
  <c r="F70" i="1"/>
  <c r="F69" i="1"/>
  <c r="F68" i="1"/>
  <c r="F66" i="1"/>
  <c r="F65" i="1"/>
  <c r="F61" i="1"/>
  <c r="F60" i="1"/>
  <c r="F59" i="1"/>
  <c r="F57" i="1"/>
  <c r="F56" i="1"/>
  <c r="F52" i="1"/>
  <c r="F51" i="1"/>
  <c r="F49" i="1"/>
  <c r="F48" i="1"/>
  <c r="F44" i="1"/>
  <c r="F43" i="1"/>
  <c r="F42" i="1"/>
  <c r="F41" i="1"/>
  <c r="F39" i="1"/>
  <c r="F35" i="1"/>
  <c r="F34" i="1"/>
  <c r="F33" i="1"/>
  <c r="F31" i="1"/>
  <c r="F29" i="1"/>
  <c r="F25" i="1"/>
  <c r="F24" i="1"/>
  <c r="F23" i="1"/>
  <c r="F20" i="1"/>
  <c r="F100" i="1" l="1"/>
  <c r="F99" i="1"/>
  <c r="F95" i="1"/>
  <c r="F94" i="1"/>
  <c r="J110" i="1" l="1"/>
  <c r="J109" i="1"/>
  <c r="J108" i="1"/>
  <c r="J107" i="1"/>
  <c r="J106" i="1"/>
  <c r="J105" i="1"/>
  <c r="J104" i="1"/>
  <c r="J103" i="1"/>
  <c r="J102" i="1"/>
  <c r="J98" i="1" l="1"/>
  <c r="J92" i="1"/>
  <c r="J100" i="1"/>
  <c r="J99" i="1"/>
  <c r="J97" i="1"/>
  <c r="J96" i="1"/>
  <c r="J95" i="1"/>
  <c r="J94" i="1"/>
  <c r="J93" i="1"/>
  <c r="J91" i="1"/>
  <c r="J71" i="1"/>
  <c r="J87" i="1" l="1"/>
  <c r="J89" i="1"/>
  <c r="J88" i="1"/>
  <c r="J86" i="1"/>
  <c r="J85" i="1"/>
  <c r="J84" i="1"/>
  <c r="J83" i="1"/>
  <c r="J82" i="1"/>
  <c r="J79" i="1" l="1"/>
  <c r="J78" i="1"/>
  <c r="J77" i="1"/>
  <c r="J76" i="1"/>
  <c r="J75" i="1"/>
  <c r="J74" i="1"/>
  <c r="J73" i="1"/>
  <c r="J70" i="1" l="1"/>
  <c r="J69" i="1"/>
  <c r="J68" i="1"/>
  <c r="J67" i="1"/>
  <c r="J66" i="1"/>
  <c r="J65" i="1"/>
  <c r="J64" i="1"/>
  <c r="J63" i="1"/>
  <c r="J59" i="1" l="1"/>
  <c r="J61" i="1"/>
  <c r="J60" i="1"/>
  <c r="J58" i="1"/>
  <c r="J57" i="1"/>
  <c r="J56" i="1"/>
  <c r="J55" i="1"/>
  <c r="J54" i="1"/>
  <c r="J48" i="1" l="1"/>
  <c r="J52" i="1"/>
  <c r="J51" i="1"/>
  <c r="J50" i="1"/>
  <c r="J49" i="1"/>
  <c r="J47" i="1"/>
  <c r="J46" i="1"/>
  <c r="G26" i="1" l="1"/>
  <c r="G36" i="1" s="1"/>
  <c r="G45" i="1" s="1"/>
  <c r="G53" i="1" s="1"/>
  <c r="G62" i="1" s="1"/>
  <c r="I26" i="1"/>
  <c r="I36" i="1" s="1"/>
  <c r="I45" i="1" s="1"/>
  <c r="I53" i="1" s="1"/>
  <c r="I62" i="1" s="1"/>
  <c r="H26" i="1"/>
  <c r="H36" i="1" s="1"/>
  <c r="H45" i="1" s="1"/>
  <c r="H53" i="1" s="1"/>
  <c r="H62" i="1" s="1"/>
  <c r="J44" i="1"/>
  <c r="J43" i="1"/>
  <c r="J42" i="1"/>
  <c r="J41" i="1"/>
  <c r="J40" i="1"/>
  <c r="J39" i="1"/>
  <c r="J38" i="1"/>
  <c r="J37" i="1"/>
  <c r="J35" i="1"/>
  <c r="J34" i="1"/>
  <c r="J33" i="1"/>
  <c r="J31" i="1"/>
  <c r="J30" i="1"/>
  <c r="J29" i="1"/>
  <c r="J28" i="1"/>
  <c r="J27" i="1"/>
  <c r="J25" i="1"/>
  <c r="J24" i="1"/>
  <c r="J23" i="1"/>
  <c r="J21" i="1"/>
  <c r="J20" i="1"/>
  <c r="J19" i="1"/>
  <c r="J18" i="1"/>
  <c r="H72" i="1" l="1"/>
  <c r="I72" i="1"/>
  <c r="I81" i="1" s="1"/>
  <c r="I90" i="1" s="1"/>
  <c r="I101" i="1" s="1"/>
  <c r="I111" i="1" s="1"/>
  <c r="G72" i="1"/>
  <c r="G81" i="1" s="1"/>
  <c r="G90" i="1" s="1"/>
  <c r="G101" i="1" s="1"/>
  <c r="G111" i="1" s="1"/>
  <c r="J26" i="1"/>
  <c r="J36" i="1" s="1"/>
  <c r="J45" i="1" s="1"/>
  <c r="J53" i="1" s="1"/>
  <c r="J62" i="1" s="1"/>
  <c r="H81" i="1" l="1"/>
  <c r="H90" i="1" s="1"/>
  <c r="H101" i="1" s="1"/>
  <c r="H111" i="1" s="1"/>
  <c r="J72" i="1"/>
  <c r="F26" i="1"/>
  <c r="F36" i="1" s="1"/>
  <c r="F45" i="1" s="1"/>
  <c r="F53" i="1" s="1"/>
  <c r="F62" i="1" s="1"/>
  <c r="J81" i="1" l="1"/>
  <c r="J90" i="1" s="1"/>
  <c r="J101" i="1" s="1"/>
  <c r="J111" i="1" s="1"/>
  <c r="F72" i="1"/>
  <c r="F81" i="1" s="1"/>
  <c r="F90" i="1" s="1"/>
  <c r="F101" i="1" s="1"/>
  <c r="F111" i="1" s="1"/>
</calcChain>
</file>

<file path=xl/sharedStrings.xml><?xml version="1.0" encoding="utf-8"?>
<sst xmlns="http://schemas.openxmlformats.org/spreadsheetml/2006/main" count="114" uniqueCount="48">
  <si>
    <t>Common Stock</t>
  </si>
  <si>
    <t>Shares</t>
  </si>
  <si>
    <t>Amount</t>
  </si>
  <si>
    <t>Retained Earnings</t>
  </si>
  <si>
    <t>Total</t>
  </si>
  <si>
    <t>Net Income</t>
  </si>
  <si>
    <t>Purchase of common stock</t>
  </si>
  <si>
    <t>Issuance of common stock in</t>
  </si>
  <si>
    <t>purchase of subsidiary</t>
  </si>
  <si>
    <t>COMPUTER SERVICES, INC. &amp; SUBSIDIARIES</t>
  </si>
  <si>
    <t>Issuance of restricted stock</t>
  </si>
  <si>
    <t>Restricted stock vested and tax benefit</t>
  </si>
  <si>
    <t>Restricted stock forfeited</t>
  </si>
  <si>
    <t>CONSOLIDATED STATEMENTS OF CHANGES IN EQUITY</t>
  </si>
  <si>
    <t>(in thousands, except share and per share data)</t>
  </si>
  <si>
    <t>Balance at February 28, 2009</t>
  </si>
  <si>
    <t>Exercise of stock options, net of shares tendered</t>
  </si>
  <si>
    <t>Issuance of common stock</t>
  </si>
  <si>
    <t>Restricted stock forfeited and tax benefit</t>
  </si>
  <si>
    <t>Tax withholding related to share-based compensation</t>
  </si>
  <si>
    <t>Restatement Adjustment</t>
  </si>
  <si>
    <t>FY2010 - FY2020</t>
  </si>
  <si>
    <t>Net Income, as restated</t>
  </si>
  <si>
    <t>Cash dividends paid ($0.59 per share)</t>
  </si>
  <si>
    <t>Cumulative effect adjustment of ASU 2014-09, as restated</t>
  </si>
  <si>
    <t>Cash dividends paid ($0.67 per share)</t>
  </si>
  <si>
    <t>Other comprehensive income</t>
  </si>
  <si>
    <t>Cash dividends paid ($0.78 per share)</t>
  </si>
  <si>
    <t>Balance as of February 28, 2010</t>
  </si>
  <si>
    <t>Balance as of February 28, 2011</t>
  </si>
  <si>
    <t>Balance as of February 29, 2012</t>
  </si>
  <si>
    <t>Balance as of February 28, 2013</t>
  </si>
  <si>
    <t>Balance as of February 28, 2014</t>
  </si>
  <si>
    <t>Balance as of February 28, 2015</t>
  </si>
  <si>
    <t>Balance as of February 29, 2016, as restated</t>
  </si>
  <si>
    <t>Balance as of February 28, 2017, as restated</t>
  </si>
  <si>
    <t>Balance as of February 28, 2018, as restated</t>
  </si>
  <si>
    <t>Balance as of February 28, 2019, as restated</t>
  </si>
  <si>
    <t>Balance as of February 29, 2020</t>
  </si>
  <si>
    <t>Cash dividends paid ($0.53 per share)</t>
  </si>
  <si>
    <t>Cash dividends paid ($0.77 per share)</t>
  </si>
  <si>
    <t>Other Comprehensive Income</t>
  </si>
  <si>
    <t>Cash dividends paid ($0.18 per share)</t>
  </si>
  <si>
    <t>Cash dividends paid ($0.21 per share)</t>
  </si>
  <si>
    <t>Cash dividends paid ($0.24 per share)</t>
  </si>
  <si>
    <t>Cash dividends paid ($0.30 per share)</t>
  </si>
  <si>
    <t>Cash dividends paid ($0.38 per share)</t>
  </si>
  <si>
    <t>Cash dividends paid ($0.47 per share)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</si>
</sst>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Times New Roman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16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/>
    <xf numFmtId="0" fontId="4" fillId="0" borderId="2" xfId="0" applyFont="1" applyBorder="1"/>
    <xf numFmtId="0" fontId="5" fillId="0" borderId="0" xfId="0" applyFont="1"/>
    <xf numFmtId="0" fontId="3" fillId="0" borderId="0" xfId="0" applyFont="1" applyBorder="1"/>
    <xf numFmtId="41" fontId="4" fillId="0" borderId="0" xfId="1" applyNumberFormat="1" applyFont="1" applyBorder="1"/>
    <xf numFmtId="41" fontId="4" fillId="0" borderId="2" xfId="1" applyNumberFormat="1" applyFont="1" applyBorder="1"/>
    <xf numFmtId="42" fontId="4" fillId="0" borderId="2" xfId="2" applyNumberFormat="1" applyFont="1" applyBorder="1"/>
    <xf numFmtId="41" fontId="4" fillId="0" borderId="0" xfId="1" applyNumberFormat="1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1" applyNumberFormat="1" applyFont="1" applyBorder="1"/>
    <xf numFmtId="41" fontId="4" fillId="0" borderId="0" xfId="0" applyNumberFormat="1" applyFont="1"/>
    <xf numFmtId="42" fontId="4" fillId="0" borderId="0" xfId="0" applyNumberFormat="1" applyFont="1"/>
    <xf numFmtId="41" fontId="4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5"/>
  <sheetViews>
    <sheetView showGridLines="0" tabSelected="1" zoomScaleNormal="100" zoomScaleSheetLayoutView="75" workbookViewId="0">
      <pane ySplit="6" topLeftCell="A85" activePane="bottomLeft" state="frozenSplit"/>
      <selection pane="bottomLeft" activeCell="D113" sqref="D113"/>
    </sheetView>
  </sheetViews>
  <sheetFormatPr defaultColWidth="9.33203125" defaultRowHeight="12.75" x14ac:dyDescent="0.2"/>
  <cols>
    <col min="1" max="4" width="3.33203125" style="2" customWidth="1"/>
    <col min="5" max="5" width="49.6640625" style="2" customWidth="1"/>
    <col min="6" max="8" width="12.83203125" style="2" customWidth="1"/>
    <col min="9" max="9" width="16.83203125" style="2" customWidth="1"/>
    <col min="10" max="10" width="12.83203125" style="2" customWidth="1"/>
    <col min="11" max="11" width="9.33203125" style="2"/>
    <col min="12" max="12" width="15.1640625" style="2" bestFit="1" customWidth="1"/>
    <col min="13" max="16384" width="9.33203125" style="2"/>
  </cols>
  <sheetData>
    <row r="1" spans="1:13" s="1" customFormat="1" ht="18" customHeight="1" x14ac:dyDescent="0.2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3" s="1" customFormat="1" ht="18" customHeight="1" x14ac:dyDescent="0.25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</row>
    <row r="3" spans="1:13" s="1" customFormat="1" ht="18" customHeight="1" x14ac:dyDescent="0.2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</row>
    <row r="4" spans="1:13" x14ac:dyDescent="0.2">
      <c r="A4" s="9" t="s">
        <v>14</v>
      </c>
    </row>
    <row r="5" spans="1:13" x14ac:dyDescent="0.2">
      <c r="F5" s="15" t="s">
        <v>0</v>
      </c>
      <c r="G5" s="15"/>
    </row>
    <row r="6" spans="1:13" s="6" customFormat="1" ht="38.25" x14ac:dyDescent="0.2">
      <c r="A6" s="3"/>
      <c r="B6" s="4"/>
      <c r="C6" s="4"/>
      <c r="D6" s="4"/>
      <c r="E6" s="4"/>
      <c r="F6" s="5" t="s">
        <v>1</v>
      </c>
      <c r="G6" s="5" t="s">
        <v>2</v>
      </c>
      <c r="H6" s="5" t="s">
        <v>3</v>
      </c>
      <c r="I6" s="5" t="s">
        <v>41</v>
      </c>
      <c r="J6" s="5" t="s">
        <v>4</v>
      </c>
    </row>
    <row r="8" spans="1:13" ht="13.5" thickBot="1" x14ac:dyDescent="0.25">
      <c r="A8" s="8" t="s">
        <v>15</v>
      </c>
      <c r="B8" s="8"/>
      <c r="C8" s="8"/>
      <c r="D8" s="8"/>
      <c r="E8" s="8"/>
      <c r="F8" s="12">
        <f>14801796*2</f>
        <v>29603592</v>
      </c>
      <c r="G8" s="13">
        <v>11643</v>
      </c>
      <c r="H8" s="13">
        <v>72590</v>
      </c>
      <c r="I8" s="13">
        <v>0</v>
      </c>
      <c r="J8" s="13">
        <v>84233</v>
      </c>
      <c r="L8" s="18"/>
      <c r="M8" s="19"/>
    </row>
    <row r="9" spans="1:13" x14ac:dyDescent="0.2">
      <c r="B9" s="2" t="s">
        <v>5</v>
      </c>
      <c r="F9" s="20">
        <v>0</v>
      </c>
      <c r="G9" s="20">
        <v>0</v>
      </c>
      <c r="H9" s="20">
        <v>21635</v>
      </c>
      <c r="I9" s="20">
        <v>0</v>
      </c>
      <c r="J9" s="20">
        <f>SUM(G9:I9)</f>
        <v>21635</v>
      </c>
      <c r="L9" s="18"/>
      <c r="M9" s="19"/>
    </row>
    <row r="10" spans="1:13" x14ac:dyDescent="0.2">
      <c r="B10" s="2" t="s">
        <v>42</v>
      </c>
      <c r="F10" s="20">
        <v>0</v>
      </c>
      <c r="G10" s="20">
        <v>0</v>
      </c>
      <c r="H10" s="20">
        <v>-5280</v>
      </c>
      <c r="I10" s="20">
        <v>0</v>
      </c>
      <c r="J10" s="20">
        <f>SUM(G10:I10)</f>
        <v>-5280</v>
      </c>
      <c r="L10" s="18"/>
      <c r="M10" s="19"/>
    </row>
    <row r="11" spans="1:13" x14ac:dyDescent="0.2">
      <c r="B11" s="2" t="s">
        <v>10</v>
      </c>
      <c r="F11" s="20">
        <f>111640*2</f>
        <v>223280</v>
      </c>
      <c r="G11" s="20">
        <v>0</v>
      </c>
      <c r="H11" s="20">
        <v>0</v>
      </c>
      <c r="I11" s="20">
        <v>0</v>
      </c>
      <c r="J11" s="20">
        <f>SUM(G11:I11)</f>
        <v>0</v>
      </c>
      <c r="L11" s="18"/>
      <c r="M11" s="19"/>
    </row>
    <row r="12" spans="1:13" x14ac:dyDescent="0.2">
      <c r="B12" s="2" t="s">
        <v>11</v>
      </c>
      <c r="F12" s="20">
        <v>0</v>
      </c>
      <c r="G12" s="20">
        <v>793</v>
      </c>
      <c r="H12" s="20">
        <v>40</v>
      </c>
      <c r="I12" s="20">
        <v>0</v>
      </c>
      <c r="J12" s="20">
        <f>SUM(G12:I12)</f>
        <v>833</v>
      </c>
      <c r="L12" s="18"/>
      <c r="M12" s="19"/>
    </row>
    <row r="13" spans="1:13" x14ac:dyDescent="0.2">
      <c r="B13" s="2" t="s">
        <v>7</v>
      </c>
      <c r="F13" s="20"/>
      <c r="G13" s="20"/>
      <c r="H13" s="20"/>
      <c r="I13" s="20"/>
      <c r="J13" s="20"/>
      <c r="L13" s="18"/>
      <c r="M13" s="19"/>
    </row>
    <row r="14" spans="1:13" x14ac:dyDescent="0.2">
      <c r="C14" s="2" t="s">
        <v>8</v>
      </c>
      <c r="F14" s="20">
        <f>25964*2</f>
        <v>51928</v>
      </c>
      <c r="G14" s="20">
        <v>450</v>
      </c>
      <c r="H14" s="20">
        <v>0</v>
      </c>
      <c r="I14" s="20">
        <v>0</v>
      </c>
      <c r="J14" s="20">
        <f>SUM(G14:I14)</f>
        <v>450</v>
      </c>
      <c r="L14" s="18"/>
      <c r="M14" s="19"/>
    </row>
    <row r="15" spans="1:13" x14ac:dyDescent="0.2">
      <c r="B15" s="2" t="s">
        <v>6</v>
      </c>
      <c r="F15" s="20">
        <f>-542974*2</f>
        <v>-1085948</v>
      </c>
      <c r="G15" s="20">
        <v>-546</v>
      </c>
      <c r="H15" s="20">
        <v>-7930</v>
      </c>
      <c r="I15" s="20">
        <v>0</v>
      </c>
      <c r="J15" s="20">
        <f>SUM(G15:I15)</f>
        <v>-8476</v>
      </c>
      <c r="L15" s="18"/>
      <c r="M15" s="19"/>
    </row>
    <row r="16" spans="1:13" x14ac:dyDescent="0.2">
      <c r="B16" s="2" t="s">
        <v>16</v>
      </c>
      <c r="F16" s="20">
        <f>243356*2</f>
        <v>486712</v>
      </c>
      <c r="G16" s="20">
        <v>47</v>
      </c>
      <c r="H16" s="20">
        <v>0</v>
      </c>
      <c r="I16" s="20">
        <v>0</v>
      </c>
      <c r="J16" s="20">
        <f>SUM(G16:I16)</f>
        <v>47</v>
      </c>
      <c r="L16" s="18"/>
      <c r="M16" s="19"/>
    </row>
    <row r="17" spans="1:12" s="7" customFormat="1" ht="13.5" thickBot="1" x14ac:dyDescent="0.25">
      <c r="A17" s="8" t="s">
        <v>28</v>
      </c>
      <c r="B17" s="8"/>
      <c r="C17" s="8"/>
      <c r="D17" s="8"/>
      <c r="E17" s="8"/>
      <c r="F17" s="12">
        <f>SUM(F8:F16)</f>
        <v>29279564</v>
      </c>
      <c r="G17" s="13">
        <f>SUM(G8:G16)</f>
        <v>12387</v>
      </c>
      <c r="H17" s="13">
        <f>SUM(H8:H16)</f>
        <v>81055</v>
      </c>
      <c r="I17" s="13">
        <f>SUM(I8:I16)</f>
        <v>0</v>
      </c>
      <c r="J17" s="13">
        <f>SUM(J8:J16)</f>
        <v>93442</v>
      </c>
    </row>
    <row r="18" spans="1:12" s="7" customFormat="1" x14ac:dyDescent="0.2">
      <c r="B18" s="7" t="s">
        <v>5</v>
      </c>
      <c r="F18" s="11">
        <v>0</v>
      </c>
      <c r="G18" s="11">
        <v>0</v>
      </c>
      <c r="H18" s="11">
        <v>24016</v>
      </c>
      <c r="I18" s="11">
        <v>0</v>
      </c>
      <c r="J18" s="11">
        <f>SUM(G18:I18)</f>
        <v>24016</v>
      </c>
    </row>
    <row r="19" spans="1:12" s="7" customFormat="1" x14ac:dyDescent="0.2">
      <c r="B19" s="7" t="s">
        <v>43</v>
      </c>
      <c r="F19" s="11">
        <v>0</v>
      </c>
      <c r="G19" s="11">
        <v>0</v>
      </c>
      <c r="H19" s="11">
        <v>-5998</v>
      </c>
      <c r="I19" s="11">
        <v>0</v>
      </c>
      <c r="J19" s="11">
        <f>SUM(G19:I19)</f>
        <v>-5998</v>
      </c>
      <c r="L19" s="17"/>
    </row>
    <row r="20" spans="1:12" s="7" customFormat="1" x14ac:dyDescent="0.2">
      <c r="B20" s="7" t="s">
        <v>10</v>
      </c>
      <c r="F20" s="11">
        <f>46070*2</f>
        <v>92140</v>
      </c>
      <c r="G20" s="11">
        <v>0</v>
      </c>
      <c r="H20" s="11">
        <v>0</v>
      </c>
      <c r="I20" s="11">
        <v>0</v>
      </c>
      <c r="J20" s="11">
        <f>SUM(G20:I20)</f>
        <v>0</v>
      </c>
    </row>
    <row r="21" spans="1:12" s="7" customFormat="1" x14ac:dyDescent="0.2">
      <c r="B21" s="7" t="s">
        <v>11</v>
      </c>
      <c r="F21" s="11">
        <v>0</v>
      </c>
      <c r="G21" s="11">
        <v>1001</v>
      </c>
      <c r="H21" s="11">
        <v>114</v>
      </c>
      <c r="I21" s="11">
        <v>0</v>
      </c>
      <c r="J21" s="11">
        <f>SUM(G21:I21)</f>
        <v>1115</v>
      </c>
    </row>
    <row r="22" spans="1:12" s="7" customFormat="1" x14ac:dyDescent="0.2">
      <c r="B22" s="7" t="s">
        <v>7</v>
      </c>
      <c r="F22" s="11"/>
      <c r="G22" s="11"/>
      <c r="H22" s="11"/>
      <c r="I22" s="11"/>
      <c r="J22" s="11"/>
    </row>
    <row r="23" spans="1:12" s="7" customFormat="1" x14ac:dyDescent="0.2">
      <c r="C23" s="7" t="s">
        <v>8</v>
      </c>
      <c r="F23" s="11">
        <f>24218*2</f>
        <v>48436</v>
      </c>
      <c r="G23" s="11">
        <v>487</v>
      </c>
      <c r="H23" s="11">
        <v>0</v>
      </c>
      <c r="I23" s="11">
        <v>0</v>
      </c>
      <c r="J23" s="11">
        <f>SUM(G23:I23)</f>
        <v>487</v>
      </c>
    </row>
    <row r="24" spans="1:12" s="7" customFormat="1" x14ac:dyDescent="0.2">
      <c r="B24" s="7" t="s">
        <v>6</v>
      </c>
      <c r="F24" s="11">
        <f>-282262*2</f>
        <v>-564524</v>
      </c>
      <c r="G24" s="11">
        <v>-319</v>
      </c>
      <c r="H24" s="11">
        <v>-6132</v>
      </c>
      <c r="I24" s="11">
        <v>0</v>
      </c>
      <c r="J24" s="11">
        <f>SUM(G24:I24)</f>
        <v>-6451</v>
      </c>
    </row>
    <row r="25" spans="1:12" s="7" customFormat="1" x14ac:dyDescent="0.2">
      <c r="B25" s="7" t="s">
        <v>16</v>
      </c>
      <c r="F25" s="11">
        <f>153794*2</f>
        <v>307588</v>
      </c>
      <c r="G25" s="11">
        <v>92</v>
      </c>
      <c r="H25" s="11">
        <v>0</v>
      </c>
      <c r="I25" s="11">
        <v>0</v>
      </c>
      <c r="J25" s="11">
        <f>SUM(G25:I25)</f>
        <v>92</v>
      </c>
    </row>
    <row r="26" spans="1:12" s="7" customFormat="1" ht="13.5" thickBot="1" x14ac:dyDescent="0.25">
      <c r="A26" s="8" t="s">
        <v>29</v>
      </c>
      <c r="B26" s="8"/>
      <c r="C26" s="8"/>
      <c r="D26" s="8"/>
      <c r="E26" s="8"/>
      <c r="F26" s="12">
        <f>SUM(F17:F25)</f>
        <v>29163204</v>
      </c>
      <c r="G26" s="13">
        <f>SUM(G17:G25)</f>
        <v>13648</v>
      </c>
      <c r="H26" s="13">
        <f t="shared" ref="H26" si="0">SUM(H17:H25)</f>
        <v>93055</v>
      </c>
      <c r="I26" s="13">
        <f t="shared" ref="I26" si="1">SUM(I17:I25)</f>
        <v>0</v>
      </c>
      <c r="J26" s="13">
        <f t="shared" ref="J26" si="2">SUM(J17:J25)</f>
        <v>106703</v>
      </c>
    </row>
    <row r="27" spans="1:12" s="7" customFormat="1" x14ac:dyDescent="0.2">
      <c r="B27" s="7" t="s">
        <v>5</v>
      </c>
      <c r="F27" s="11">
        <v>0</v>
      </c>
      <c r="G27" s="11">
        <v>0</v>
      </c>
      <c r="H27" s="11">
        <v>25506</v>
      </c>
      <c r="I27" s="11">
        <v>0</v>
      </c>
      <c r="J27" s="11">
        <f>SUM(G27:I27)</f>
        <v>25506</v>
      </c>
    </row>
    <row r="28" spans="1:12" s="7" customFormat="1" x14ac:dyDescent="0.2">
      <c r="B28" s="7" t="s">
        <v>44</v>
      </c>
      <c r="F28" s="11">
        <v>0</v>
      </c>
      <c r="G28" s="11">
        <v>0</v>
      </c>
      <c r="H28" s="11">
        <v>-6890</v>
      </c>
      <c r="I28" s="11">
        <v>0</v>
      </c>
      <c r="J28" s="11">
        <f>SUM(G28:I28)</f>
        <v>-6890</v>
      </c>
    </row>
    <row r="29" spans="1:12" s="7" customFormat="1" x14ac:dyDescent="0.2">
      <c r="B29" s="7" t="s">
        <v>10</v>
      </c>
      <c r="F29" s="11">
        <f>52830*2</f>
        <v>105660</v>
      </c>
      <c r="G29" s="11">
        <v>0</v>
      </c>
      <c r="H29" s="11">
        <v>0</v>
      </c>
      <c r="I29" s="11">
        <v>0</v>
      </c>
      <c r="J29" s="11">
        <f>SUM(G29:I29)</f>
        <v>0</v>
      </c>
    </row>
    <row r="30" spans="1:12" s="7" customFormat="1" x14ac:dyDescent="0.2">
      <c r="B30" s="7" t="s">
        <v>11</v>
      </c>
      <c r="F30" s="11">
        <v>0</v>
      </c>
      <c r="G30" s="11">
        <v>1199</v>
      </c>
      <c r="H30" s="11">
        <v>266</v>
      </c>
      <c r="I30" s="11">
        <v>0</v>
      </c>
      <c r="J30" s="11">
        <f>SUM(G30:I30)</f>
        <v>1465</v>
      </c>
    </row>
    <row r="31" spans="1:12" s="7" customFormat="1" x14ac:dyDescent="0.2">
      <c r="B31" s="7" t="s">
        <v>12</v>
      </c>
      <c r="F31" s="11">
        <f>-492*2</f>
        <v>-984</v>
      </c>
      <c r="G31" s="11">
        <v>0</v>
      </c>
      <c r="H31" s="11">
        <v>0</v>
      </c>
      <c r="I31" s="11">
        <v>0</v>
      </c>
      <c r="J31" s="11">
        <f>SUM(G31:I31)</f>
        <v>0</v>
      </c>
    </row>
    <row r="32" spans="1:12" s="7" customFormat="1" x14ac:dyDescent="0.2">
      <c r="B32" s="7" t="s">
        <v>7</v>
      </c>
      <c r="F32" s="11"/>
      <c r="G32" s="11"/>
      <c r="H32" s="11"/>
      <c r="I32" s="11"/>
      <c r="J32" s="11"/>
    </row>
    <row r="33" spans="1:10" s="7" customFormat="1" x14ac:dyDescent="0.2">
      <c r="C33" s="7" t="s">
        <v>8</v>
      </c>
      <c r="F33" s="11">
        <f>127070*2</f>
        <v>254140</v>
      </c>
      <c r="G33" s="11">
        <v>3680</v>
      </c>
      <c r="H33" s="11">
        <v>0</v>
      </c>
      <c r="I33" s="11">
        <v>0</v>
      </c>
      <c r="J33" s="11">
        <f>SUM(G33:I33)</f>
        <v>3680</v>
      </c>
    </row>
    <row r="34" spans="1:10" s="7" customFormat="1" x14ac:dyDescent="0.2">
      <c r="B34" s="7" t="s">
        <v>6</v>
      </c>
      <c r="F34" s="11">
        <f>-164790*2</f>
        <v>-329580</v>
      </c>
      <c r="G34" s="11">
        <v>-229</v>
      </c>
      <c r="H34" s="11">
        <v>-4463</v>
      </c>
      <c r="I34" s="11">
        <v>0</v>
      </c>
      <c r="J34" s="11">
        <f>SUM(G34:I34)</f>
        <v>-4692</v>
      </c>
    </row>
    <row r="35" spans="1:10" s="7" customFormat="1" x14ac:dyDescent="0.2">
      <c r="B35" s="7" t="s">
        <v>16</v>
      </c>
      <c r="F35" s="11">
        <f>111275*2</f>
        <v>222550</v>
      </c>
      <c r="G35" s="11">
        <v>74</v>
      </c>
      <c r="H35" s="11">
        <v>0</v>
      </c>
      <c r="I35" s="11">
        <v>0</v>
      </c>
      <c r="J35" s="11">
        <f>SUM(G35:I35)</f>
        <v>74</v>
      </c>
    </row>
    <row r="36" spans="1:10" s="7" customFormat="1" ht="13.5" thickBot="1" x14ac:dyDescent="0.25">
      <c r="A36" s="8" t="s">
        <v>30</v>
      </c>
      <c r="B36" s="8"/>
      <c r="C36" s="8"/>
      <c r="D36" s="8"/>
      <c r="E36" s="8"/>
      <c r="F36" s="12">
        <f>SUM(F26:F35)</f>
        <v>29414990</v>
      </c>
      <c r="G36" s="13">
        <f>SUM(G26:G35)</f>
        <v>18372</v>
      </c>
      <c r="H36" s="13">
        <f t="shared" ref="H36:J36" si="3">SUM(H26:H35)</f>
        <v>107474</v>
      </c>
      <c r="I36" s="13">
        <f t="shared" si="3"/>
        <v>0</v>
      </c>
      <c r="J36" s="13">
        <f t="shared" si="3"/>
        <v>125846</v>
      </c>
    </row>
    <row r="37" spans="1:10" s="7" customFormat="1" x14ac:dyDescent="0.2">
      <c r="B37" s="7" t="s">
        <v>5</v>
      </c>
      <c r="F37" s="11">
        <v>0</v>
      </c>
      <c r="G37" s="11">
        <v>0</v>
      </c>
      <c r="H37" s="11">
        <v>25839</v>
      </c>
      <c r="I37" s="11">
        <v>0</v>
      </c>
      <c r="J37" s="11">
        <f t="shared" ref="J37:J44" si="4">SUM(G37:I37)</f>
        <v>25839</v>
      </c>
    </row>
    <row r="38" spans="1:10" s="7" customFormat="1" x14ac:dyDescent="0.2">
      <c r="B38" s="7" t="s">
        <v>40</v>
      </c>
      <c r="F38" s="11">
        <v>0</v>
      </c>
      <c r="G38" s="11">
        <v>0</v>
      </c>
      <c r="H38" s="11">
        <v>-22498</v>
      </c>
      <c r="I38" s="11">
        <v>0</v>
      </c>
      <c r="J38" s="11">
        <f t="shared" si="4"/>
        <v>-22498</v>
      </c>
    </row>
    <row r="39" spans="1:10" s="7" customFormat="1" x14ac:dyDescent="0.2">
      <c r="B39" s="7" t="s">
        <v>10</v>
      </c>
      <c r="F39" s="11">
        <f>33229*2</f>
        <v>66458</v>
      </c>
      <c r="G39" s="11">
        <v>0</v>
      </c>
      <c r="H39" s="11">
        <v>0</v>
      </c>
      <c r="I39" s="11">
        <v>0</v>
      </c>
      <c r="J39" s="11">
        <f t="shared" si="4"/>
        <v>0</v>
      </c>
    </row>
    <row r="40" spans="1:10" s="7" customFormat="1" x14ac:dyDescent="0.2">
      <c r="B40" s="7" t="s">
        <v>11</v>
      </c>
      <c r="F40" s="11">
        <v>0</v>
      </c>
      <c r="G40" s="11">
        <v>1266</v>
      </c>
      <c r="H40" s="11">
        <v>353</v>
      </c>
      <c r="I40" s="11">
        <v>0</v>
      </c>
      <c r="J40" s="11">
        <f t="shared" si="4"/>
        <v>1619</v>
      </c>
    </row>
    <row r="41" spans="1:10" s="7" customFormat="1" x14ac:dyDescent="0.2">
      <c r="B41" s="7" t="s">
        <v>12</v>
      </c>
      <c r="F41" s="11">
        <f>-520*2</f>
        <v>-1040</v>
      </c>
      <c r="G41" s="11">
        <v>0</v>
      </c>
      <c r="H41" s="11">
        <v>0</v>
      </c>
      <c r="I41" s="11">
        <v>0</v>
      </c>
      <c r="J41" s="11">
        <f t="shared" si="4"/>
        <v>0</v>
      </c>
    </row>
    <row r="42" spans="1:10" s="7" customFormat="1" x14ac:dyDescent="0.2">
      <c r="B42" s="7" t="s">
        <v>6</v>
      </c>
      <c r="F42" s="11">
        <f>-167472*2</f>
        <v>-334944</v>
      </c>
      <c r="G42" s="11">
        <v>-256</v>
      </c>
      <c r="H42" s="11">
        <v>-4812</v>
      </c>
      <c r="I42" s="11">
        <v>0</v>
      </c>
      <c r="J42" s="11">
        <f t="shared" si="4"/>
        <v>-5068</v>
      </c>
    </row>
    <row r="43" spans="1:10" s="7" customFormat="1" x14ac:dyDescent="0.2">
      <c r="B43" s="7" t="s">
        <v>19</v>
      </c>
      <c r="F43" s="11">
        <f>-15974*2</f>
        <v>-31948</v>
      </c>
      <c r="G43" s="11">
        <v>-24</v>
      </c>
      <c r="H43" s="11">
        <v>-511</v>
      </c>
      <c r="I43" s="11">
        <v>0</v>
      </c>
      <c r="J43" s="11">
        <f t="shared" si="4"/>
        <v>-535</v>
      </c>
    </row>
    <row r="44" spans="1:10" s="7" customFormat="1" x14ac:dyDescent="0.2">
      <c r="B44" s="7" t="s">
        <v>16</v>
      </c>
      <c r="F44" s="11">
        <f>63985*2</f>
        <v>127970</v>
      </c>
      <c r="G44" s="11">
        <v>164</v>
      </c>
      <c r="H44" s="11">
        <v>0</v>
      </c>
      <c r="I44" s="11">
        <v>0</v>
      </c>
      <c r="J44" s="11">
        <f t="shared" si="4"/>
        <v>164</v>
      </c>
    </row>
    <row r="45" spans="1:10" s="7" customFormat="1" ht="13.5" thickBot="1" x14ac:dyDescent="0.25">
      <c r="A45" s="8" t="s">
        <v>31</v>
      </c>
      <c r="B45" s="8"/>
      <c r="C45" s="8"/>
      <c r="D45" s="8"/>
      <c r="E45" s="8"/>
      <c r="F45" s="12">
        <f>SUM(F36:F44)</f>
        <v>29241486</v>
      </c>
      <c r="G45" s="13">
        <f>SUM(G36:G44)</f>
        <v>19522</v>
      </c>
      <c r="H45" s="13">
        <f>SUM(H36:H44)</f>
        <v>105845</v>
      </c>
      <c r="I45" s="13">
        <f t="shared" ref="I45:J45" si="5">SUM(I36:I44)</f>
        <v>0</v>
      </c>
      <c r="J45" s="13">
        <f t="shared" si="5"/>
        <v>125367</v>
      </c>
    </row>
    <row r="46" spans="1:10" s="7" customFormat="1" x14ac:dyDescent="0.2">
      <c r="B46" s="7" t="s">
        <v>5</v>
      </c>
      <c r="F46" s="11">
        <v>0</v>
      </c>
      <c r="G46" s="11">
        <v>0</v>
      </c>
      <c r="H46" s="11">
        <v>26656</v>
      </c>
      <c r="I46" s="11">
        <v>0</v>
      </c>
      <c r="J46" s="11">
        <f t="shared" ref="J46:J52" si="6">SUM(G46:I46)</f>
        <v>26656</v>
      </c>
    </row>
    <row r="47" spans="1:10" s="7" customFormat="1" x14ac:dyDescent="0.2">
      <c r="B47" s="7" t="s">
        <v>45</v>
      </c>
      <c r="F47" s="11">
        <v>0</v>
      </c>
      <c r="G47" s="11">
        <v>0</v>
      </c>
      <c r="H47" s="11">
        <v>-8685</v>
      </c>
      <c r="I47" s="11">
        <v>0</v>
      </c>
      <c r="J47" s="11">
        <f t="shared" si="6"/>
        <v>-8685</v>
      </c>
    </row>
    <row r="48" spans="1:10" s="7" customFormat="1" x14ac:dyDescent="0.2">
      <c r="B48" s="7" t="s">
        <v>17</v>
      </c>
      <c r="F48" s="11">
        <f>5556*2</f>
        <v>11112</v>
      </c>
      <c r="G48" s="11">
        <v>181</v>
      </c>
      <c r="H48" s="11">
        <v>0</v>
      </c>
      <c r="I48" s="11">
        <v>0</v>
      </c>
      <c r="J48" s="11">
        <f t="shared" si="6"/>
        <v>181</v>
      </c>
    </row>
    <row r="49" spans="1:10" s="7" customFormat="1" x14ac:dyDescent="0.2">
      <c r="B49" s="7" t="s">
        <v>10</v>
      </c>
      <c r="F49" s="11">
        <f>38552*2</f>
        <v>77104</v>
      </c>
      <c r="G49" s="11">
        <v>0</v>
      </c>
      <c r="H49" s="11">
        <v>0</v>
      </c>
      <c r="I49" s="11">
        <v>0</v>
      </c>
      <c r="J49" s="11">
        <f t="shared" si="6"/>
        <v>0</v>
      </c>
    </row>
    <row r="50" spans="1:10" s="7" customFormat="1" x14ac:dyDescent="0.2">
      <c r="B50" s="7" t="s">
        <v>11</v>
      </c>
      <c r="F50" s="11">
        <v>0</v>
      </c>
      <c r="G50" s="11">
        <v>1316</v>
      </c>
      <c r="H50" s="11">
        <v>178</v>
      </c>
      <c r="I50" s="11">
        <v>0</v>
      </c>
      <c r="J50" s="11">
        <f t="shared" si="6"/>
        <v>1494</v>
      </c>
    </row>
    <row r="51" spans="1:10" s="7" customFormat="1" x14ac:dyDescent="0.2">
      <c r="B51" s="7" t="s">
        <v>6</v>
      </c>
      <c r="F51" s="11">
        <f>-421951*2</f>
        <v>-843902</v>
      </c>
      <c r="G51" s="11">
        <v>-679</v>
      </c>
      <c r="H51" s="11">
        <v>-12563</v>
      </c>
      <c r="I51" s="11">
        <v>0</v>
      </c>
      <c r="J51" s="11">
        <f t="shared" si="6"/>
        <v>-13242</v>
      </c>
    </row>
    <row r="52" spans="1:10" s="7" customFormat="1" x14ac:dyDescent="0.2">
      <c r="B52" s="7" t="s">
        <v>19</v>
      </c>
      <c r="F52" s="11">
        <f>-14949*2</f>
        <v>-29898</v>
      </c>
      <c r="G52" s="11">
        <v>-24</v>
      </c>
      <c r="H52" s="11">
        <v>-416</v>
      </c>
      <c r="I52" s="11">
        <v>0</v>
      </c>
      <c r="J52" s="11">
        <f t="shared" si="6"/>
        <v>-440</v>
      </c>
    </row>
    <row r="53" spans="1:10" s="7" customFormat="1" ht="13.5" thickBot="1" x14ac:dyDescent="0.25">
      <c r="A53" s="8" t="s">
        <v>32</v>
      </c>
      <c r="B53" s="8"/>
      <c r="C53" s="8"/>
      <c r="D53" s="8"/>
      <c r="E53" s="8"/>
      <c r="F53" s="12">
        <f>SUM(F45:F52)</f>
        <v>28455902</v>
      </c>
      <c r="G53" s="13">
        <f>SUM(G45:G52)</f>
        <v>20316</v>
      </c>
      <c r="H53" s="13">
        <f>SUM(H45:H52)</f>
        <v>111015</v>
      </c>
      <c r="I53" s="13">
        <f>SUM(I45:I52)</f>
        <v>0</v>
      </c>
      <c r="J53" s="13">
        <f>SUM(J45:J52)</f>
        <v>131331</v>
      </c>
    </row>
    <row r="54" spans="1:10" s="7" customFormat="1" x14ac:dyDescent="0.2">
      <c r="B54" s="7" t="s">
        <v>5</v>
      </c>
      <c r="F54" s="11">
        <v>0</v>
      </c>
      <c r="G54" s="11">
        <v>0</v>
      </c>
      <c r="H54" s="11">
        <v>27839</v>
      </c>
      <c r="I54" s="11">
        <v>0</v>
      </c>
      <c r="J54" s="11">
        <f t="shared" ref="J54:J61" si="7">SUM(G54:I54)</f>
        <v>27839</v>
      </c>
    </row>
    <row r="55" spans="1:10" s="7" customFormat="1" x14ac:dyDescent="0.2">
      <c r="B55" s="7" t="s">
        <v>46</v>
      </c>
      <c r="F55" s="11">
        <v>0</v>
      </c>
      <c r="G55" s="11">
        <v>0</v>
      </c>
      <c r="H55" s="11">
        <v>-10769</v>
      </c>
      <c r="I55" s="11">
        <v>0</v>
      </c>
      <c r="J55" s="11">
        <f t="shared" si="7"/>
        <v>-10769</v>
      </c>
    </row>
    <row r="56" spans="1:10" s="7" customFormat="1" x14ac:dyDescent="0.2">
      <c r="B56" s="7" t="s">
        <v>17</v>
      </c>
      <c r="F56" s="11">
        <f>6837*2</f>
        <v>13674</v>
      </c>
      <c r="G56" s="11">
        <v>257</v>
      </c>
      <c r="H56" s="11">
        <v>0</v>
      </c>
      <c r="I56" s="11">
        <v>0</v>
      </c>
      <c r="J56" s="11">
        <f t="shared" si="7"/>
        <v>257</v>
      </c>
    </row>
    <row r="57" spans="1:10" s="7" customFormat="1" x14ac:dyDescent="0.2">
      <c r="B57" s="7" t="s">
        <v>10</v>
      </c>
      <c r="F57" s="11">
        <f>36670*2</f>
        <v>73340</v>
      </c>
      <c r="G57" s="11">
        <v>0</v>
      </c>
      <c r="H57" s="11">
        <v>0</v>
      </c>
      <c r="I57" s="11">
        <v>0</v>
      </c>
      <c r="J57" s="11">
        <f t="shared" si="7"/>
        <v>0</v>
      </c>
    </row>
    <row r="58" spans="1:10" s="7" customFormat="1" x14ac:dyDescent="0.2">
      <c r="B58" s="7" t="s">
        <v>11</v>
      </c>
      <c r="F58" s="11">
        <v>0</v>
      </c>
      <c r="G58" s="11">
        <v>1233</v>
      </c>
      <c r="H58" s="11">
        <v>119</v>
      </c>
      <c r="I58" s="11">
        <v>0</v>
      </c>
      <c r="J58" s="11">
        <f t="shared" si="7"/>
        <v>1352</v>
      </c>
    </row>
    <row r="59" spans="1:10" s="7" customFormat="1" x14ac:dyDescent="0.2">
      <c r="B59" s="7" t="s">
        <v>18</v>
      </c>
      <c r="F59" s="11">
        <f>-2180*2</f>
        <v>-4360</v>
      </c>
      <c r="G59" s="11">
        <v>0</v>
      </c>
      <c r="H59" s="11">
        <v>3</v>
      </c>
      <c r="I59" s="11">
        <v>0</v>
      </c>
      <c r="J59" s="11">
        <f t="shared" ref="J59" si="8">SUM(G59:I59)</f>
        <v>3</v>
      </c>
    </row>
    <row r="60" spans="1:10" s="7" customFormat="1" x14ac:dyDescent="0.2">
      <c r="B60" s="7" t="s">
        <v>6</v>
      </c>
      <c r="F60" s="11">
        <f>-149192*2</f>
        <v>-298384</v>
      </c>
      <c r="G60" s="11">
        <v>-254</v>
      </c>
      <c r="H60" s="11">
        <v>-5023</v>
      </c>
      <c r="I60" s="11">
        <v>0</v>
      </c>
      <c r="J60" s="11">
        <f t="shared" si="7"/>
        <v>-5277</v>
      </c>
    </row>
    <row r="61" spans="1:10" s="7" customFormat="1" x14ac:dyDescent="0.2">
      <c r="B61" s="7" t="s">
        <v>19</v>
      </c>
      <c r="F61" s="11">
        <f>-9237*2</f>
        <v>-18474</v>
      </c>
      <c r="G61" s="11">
        <v>-16</v>
      </c>
      <c r="H61" s="11">
        <v>-303</v>
      </c>
      <c r="I61" s="11">
        <v>0</v>
      </c>
      <c r="J61" s="11">
        <f t="shared" si="7"/>
        <v>-319</v>
      </c>
    </row>
    <row r="62" spans="1:10" s="7" customFormat="1" ht="13.5" thickBot="1" x14ac:dyDescent="0.25">
      <c r="A62" s="8" t="s">
        <v>33</v>
      </c>
      <c r="B62" s="8"/>
      <c r="C62" s="8"/>
      <c r="D62" s="8"/>
      <c r="E62" s="8"/>
      <c r="F62" s="12">
        <f>SUM(F53:F61)</f>
        <v>28221698</v>
      </c>
      <c r="G62" s="13">
        <f>SUM(G53:G61)</f>
        <v>21536</v>
      </c>
      <c r="H62" s="13">
        <f>SUM(H53:H61)</f>
        <v>122881</v>
      </c>
      <c r="I62" s="13">
        <f>SUM(I53:I61)</f>
        <v>0</v>
      </c>
      <c r="J62" s="13">
        <f>SUM(J53:J61)</f>
        <v>144417</v>
      </c>
    </row>
    <row r="63" spans="1:10" s="7" customFormat="1" x14ac:dyDescent="0.2">
      <c r="B63" s="7" t="s">
        <v>5</v>
      </c>
      <c r="F63" s="11">
        <v>0</v>
      </c>
      <c r="G63" s="11">
        <v>0</v>
      </c>
      <c r="H63" s="11">
        <v>29140</v>
      </c>
      <c r="I63" s="11">
        <v>0</v>
      </c>
      <c r="J63" s="11">
        <f t="shared" ref="J63:J71" si="9">SUM(G63:I63)</f>
        <v>29140</v>
      </c>
    </row>
    <row r="64" spans="1:10" s="7" customFormat="1" x14ac:dyDescent="0.2">
      <c r="B64" s="7" t="s">
        <v>47</v>
      </c>
      <c r="F64" s="11">
        <v>0</v>
      </c>
      <c r="G64" s="11">
        <v>0</v>
      </c>
      <c r="H64" s="11">
        <v>-13271</v>
      </c>
      <c r="I64" s="11">
        <v>0</v>
      </c>
      <c r="J64" s="11">
        <f t="shared" si="9"/>
        <v>-13271</v>
      </c>
    </row>
    <row r="65" spans="1:10" s="7" customFormat="1" x14ac:dyDescent="0.2">
      <c r="B65" s="7" t="s">
        <v>17</v>
      </c>
      <c r="F65" s="11">
        <f>8050*2</f>
        <v>16100</v>
      </c>
      <c r="G65" s="11">
        <v>311</v>
      </c>
      <c r="H65" s="11">
        <v>0</v>
      </c>
      <c r="I65" s="11">
        <v>0</v>
      </c>
      <c r="J65" s="11">
        <f t="shared" si="9"/>
        <v>311</v>
      </c>
    </row>
    <row r="66" spans="1:10" s="7" customFormat="1" x14ac:dyDescent="0.2">
      <c r="B66" s="7" t="s">
        <v>10</v>
      </c>
      <c r="F66" s="11">
        <f>40931*2</f>
        <v>81862</v>
      </c>
      <c r="G66" s="11">
        <v>0</v>
      </c>
      <c r="H66" s="11">
        <v>0</v>
      </c>
      <c r="I66" s="11">
        <v>0</v>
      </c>
      <c r="J66" s="11">
        <f t="shared" si="9"/>
        <v>0</v>
      </c>
    </row>
    <row r="67" spans="1:10" s="7" customFormat="1" x14ac:dyDescent="0.2">
      <c r="B67" s="7" t="s">
        <v>11</v>
      </c>
      <c r="F67" s="11">
        <v>0</v>
      </c>
      <c r="G67" s="11">
        <v>1566</v>
      </c>
      <c r="H67" s="11">
        <v>142</v>
      </c>
      <c r="I67" s="11">
        <v>0</v>
      </c>
      <c r="J67" s="11">
        <f t="shared" si="9"/>
        <v>1708</v>
      </c>
    </row>
    <row r="68" spans="1:10" s="7" customFormat="1" x14ac:dyDescent="0.2">
      <c r="B68" s="7" t="s">
        <v>18</v>
      </c>
      <c r="F68" s="11">
        <f>-298*2</f>
        <v>-596</v>
      </c>
      <c r="G68" s="11">
        <v>0</v>
      </c>
      <c r="H68" s="11">
        <v>0</v>
      </c>
      <c r="I68" s="11">
        <v>0</v>
      </c>
      <c r="J68" s="11">
        <f t="shared" si="9"/>
        <v>0</v>
      </c>
    </row>
    <row r="69" spans="1:10" s="7" customFormat="1" x14ac:dyDescent="0.2">
      <c r="B69" s="7" t="s">
        <v>6</v>
      </c>
      <c r="F69" s="11">
        <f>-159574*2</f>
        <v>-319148</v>
      </c>
      <c r="G69" s="11">
        <v>-295</v>
      </c>
      <c r="H69" s="11">
        <v>-5739</v>
      </c>
      <c r="I69" s="11">
        <v>0</v>
      </c>
      <c r="J69" s="11">
        <f t="shared" si="9"/>
        <v>-6034</v>
      </c>
    </row>
    <row r="70" spans="1:10" s="7" customFormat="1" x14ac:dyDescent="0.2">
      <c r="B70" s="7" t="s">
        <v>19</v>
      </c>
      <c r="F70" s="11">
        <f>-6977*2</f>
        <v>-13954</v>
      </c>
      <c r="G70" s="11">
        <v>0</v>
      </c>
      <c r="H70" s="11">
        <v>-297</v>
      </c>
      <c r="I70" s="11">
        <v>0</v>
      </c>
      <c r="J70" s="11">
        <f t="shared" si="9"/>
        <v>-297</v>
      </c>
    </row>
    <row r="71" spans="1:10" s="7" customFormat="1" x14ac:dyDescent="0.2">
      <c r="B71" s="7" t="s">
        <v>20</v>
      </c>
      <c r="F71" s="11">
        <v>0</v>
      </c>
      <c r="G71" s="11">
        <v>0</v>
      </c>
      <c r="H71" s="11">
        <v>-4119</v>
      </c>
      <c r="I71" s="11"/>
      <c r="J71" s="11">
        <f t="shared" si="9"/>
        <v>-4119</v>
      </c>
    </row>
    <row r="72" spans="1:10" s="7" customFormat="1" ht="13.5" thickBot="1" x14ac:dyDescent="0.25">
      <c r="A72" s="8" t="s">
        <v>34</v>
      </c>
      <c r="B72" s="8"/>
      <c r="C72" s="8"/>
      <c r="D72" s="8"/>
      <c r="E72" s="8"/>
      <c r="F72" s="12">
        <f>SUM(F62:F71)</f>
        <v>27985962</v>
      </c>
      <c r="G72" s="13">
        <f t="shared" ref="G72:J72" si="10">SUM(G62:G71)</f>
        <v>23118</v>
      </c>
      <c r="H72" s="13">
        <f t="shared" si="10"/>
        <v>128737</v>
      </c>
      <c r="I72" s="13">
        <f t="shared" si="10"/>
        <v>0</v>
      </c>
      <c r="J72" s="13">
        <f t="shared" si="10"/>
        <v>151855</v>
      </c>
    </row>
    <row r="73" spans="1:10" s="7" customFormat="1" x14ac:dyDescent="0.2">
      <c r="B73" s="7" t="s">
        <v>5</v>
      </c>
      <c r="F73" s="14">
        <v>0</v>
      </c>
      <c r="G73" s="14">
        <v>0</v>
      </c>
      <c r="H73" s="14">
        <v>30921</v>
      </c>
      <c r="I73" s="11">
        <v>0</v>
      </c>
      <c r="J73" s="11">
        <f t="shared" ref="J73:J80" si="11">SUM(G73:I73)</f>
        <v>30921</v>
      </c>
    </row>
    <row r="74" spans="1:10" s="7" customFormat="1" x14ac:dyDescent="0.2">
      <c r="B74" s="7" t="s">
        <v>39</v>
      </c>
      <c r="F74" s="14">
        <v>0</v>
      </c>
      <c r="G74" s="14">
        <v>0</v>
      </c>
      <c r="H74" s="14">
        <v>-14852</v>
      </c>
      <c r="I74" s="11">
        <v>0</v>
      </c>
      <c r="J74" s="11">
        <f t="shared" si="11"/>
        <v>-14852</v>
      </c>
    </row>
    <row r="75" spans="1:10" s="7" customFormat="1" x14ac:dyDescent="0.2">
      <c r="B75" s="7" t="s">
        <v>17</v>
      </c>
      <c r="F75" s="14">
        <f>8075*2</f>
        <v>16150</v>
      </c>
      <c r="G75" s="14">
        <v>313</v>
      </c>
      <c r="H75" s="14">
        <v>0</v>
      </c>
      <c r="I75" s="11">
        <v>0</v>
      </c>
      <c r="J75" s="11">
        <f t="shared" si="11"/>
        <v>313</v>
      </c>
    </row>
    <row r="76" spans="1:10" s="7" customFormat="1" x14ac:dyDescent="0.2">
      <c r="B76" s="7" t="s">
        <v>10</v>
      </c>
      <c r="F76" s="14">
        <f>43542*2</f>
        <v>87084</v>
      </c>
      <c r="G76" s="14">
        <v>0</v>
      </c>
      <c r="H76" s="14">
        <v>0</v>
      </c>
      <c r="I76" s="11">
        <v>0</v>
      </c>
      <c r="J76" s="11">
        <f t="shared" si="11"/>
        <v>0</v>
      </c>
    </row>
    <row r="77" spans="1:10" s="7" customFormat="1" x14ac:dyDescent="0.2">
      <c r="B77" s="7" t="s">
        <v>11</v>
      </c>
      <c r="F77" s="14">
        <v>0</v>
      </c>
      <c r="G77" s="14">
        <v>1153</v>
      </c>
      <c r="H77" s="14">
        <v>19</v>
      </c>
      <c r="I77" s="11">
        <v>0</v>
      </c>
      <c r="J77" s="11">
        <f t="shared" si="11"/>
        <v>1172</v>
      </c>
    </row>
    <row r="78" spans="1:10" s="7" customFormat="1" x14ac:dyDescent="0.2">
      <c r="B78" s="7" t="s">
        <v>6</v>
      </c>
      <c r="F78" s="14">
        <f>-84072*2</f>
        <v>-168144</v>
      </c>
      <c r="G78" s="14">
        <v>-165</v>
      </c>
      <c r="H78" s="14">
        <v>-3222</v>
      </c>
      <c r="I78" s="11">
        <v>0</v>
      </c>
      <c r="J78" s="11">
        <f t="shared" si="11"/>
        <v>-3387</v>
      </c>
    </row>
    <row r="79" spans="1:10" s="7" customFormat="1" x14ac:dyDescent="0.2">
      <c r="B79" s="7" t="s">
        <v>19</v>
      </c>
      <c r="F79" s="14">
        <f>-5123*2</f>
        <v>-10246</v>
      </c>
      <c r="G79" s="14">
        <v>-10</v>
      </c>
      <c r="H79" s="14">
        <v>-181</v>
      </c>
      <c r="I79" s="11">
        <v>0</v>
      </c>
      <c r="J79" s="11">
        <f t="shared" si="11"/>
        <v>-191</v>
      </c>
    </row>
    <row r="80" spans="1:10" s="7" customFormat="1" x14ac:dyDescent="0.2">
      <c r="B80" s="7" t="s">
        <v>20</v>
      </c>
      <c r="F80" s="14"/>
      <c r="G80" s="14"/>
      <c r="H80" s="14">
        <v>3399</v>
      </c>
      <c r="I80" s="11"/>
      <c r="J80" s="11">
        <f t="shared" si="11"/>
        <v>3399</v>
      </c>
    </row>
    <row r="81" spans="1:10" s="7" customFormat="1" ht="13.5" thickBot="1" x14ac:dyDescent="0.25">
      <c r="A81" s="8" t="s">
        <v>35</v>
      </c>
      <c r="B81" s="8"/>
      <c r="C81" s="8"/>
      <c r="D81" s="8"/>
      <c r="E81" s="8"/>
      <c r="F81" s="12">
        <f>SUM(F72:F79)</f>
        <v>27910806</v>
      </c>
      <c r="G81" s="13">
        <f>SUM(G72:G79)</f>
        <v>24409</v>
      </c>
      <c r="H81" s="13">
        <f>SUM(H72:H80)</f>
        <v>144821</v>
      </c>
      <c r="I81" s="13">
        <f>SUM(I72:I79)</f>
        <v>0</v>
      </c>
      <c r="J81" s="13">
        <f>SUM(J72:J80)</f>
        <v>169230</v>
      </c>
    </row>
    <row r="82" spans="1:10" s="7" customFormat="1" x14ac:dyDescent="0.2">
      <c r="B82" s="7" t="s">
        <v>22</v>
      </c>
      <c r="F82" s="14">
        <v>0</v>
      </c>
      <c r="G82" s="14">
        <v>0</v>
      </c>
      <c r="H82" s="14">
        <v>39176</v>
      </c>
      <c r="I82" s="11">
        <v>0</v>
      </c>
      <c r="J82" s="11">
        <f t="shared" ref="J82:J89" si="12">SUM(G82:I82)</f>
        <v>39176</v>
      </c>
    </row>
    <row r="83" spans="1:10" s="7" customFormat="1" x14ac:dyDescent="0.2">
      <c r="B83" s="7" t="s">
        <v>23</v>
      </c>
      <c r="F83" s="14">
        <v>0</v>
      </c>
      <c r="G83" s="14">
        <v>0</v>
      </c>
      <c r="H83" s="14">
        <v>-16481</v>
      </c>
      <c r="I83" s="11">
        <v>0</v>
      </c>
      <c r="J83" s="11">
        <f t="shared" si="12"/>
        <v>-16481</v>
      </c>
    </row>
    <row r="84" spans="1:10" s="7" customFormat="1" x14ac:dyDescent="0.2">
      <c r="B84" s="7" t="s">
        <v>17</v>
      </c>
      <c r="F84" s="14">
        <f>6827*2</f>
        <v>13654</v>
      </c>
      <c r="G84" s="14">
        <v>314</v>
      </c>
      <c r="H84" s="14">
        <v>0</v>
      </c>
      <c r="I84" s="11">
        <v>0</v>
      </c>
      <c r="J84" s="11">
        <f t="shared" si="12"/>
        <v>314</v>
      </c>
    </row>
    <row r="85" spans="1:10" s="7" customFormat="1" x14ac:dyDescent="0.2">
      <c r="B85" s="7" t="s">
        <v>10</v>
      </c>
      <c r="F85" s="14">
        <f>41000*2</f>
        <v>82000</v>
      </c>
      <c r="G85" s="14">
        <v>0</v>
      </c>
      <c r="H85" s="14">
        <v>0</v>
      </c>
      <c r="I85" s="11">
        <v>0</v>
      </c>
      <c r="J85" s="11">
        <f t="shared" si="12"/>
        <v>0</v>
      </c>
    </row>
    <row r="86" spans="1:10" s="7" customFormat="1" x14ac:dyDescent="0.2">
      <c r="B86" s="7" t="s">
        <v>11</v>
      </c>
      <c r="F86" s="14">
        <v>0</v>
      </c>
      <c r="G86" s="14">
        <v>1267</v>
      </c>
      <c r="H86" s="14">
        <v>0</v>
      </c>
      <c r="I86" s="11">
        <v>0</v>
      </c>
      <c r="J86" s="11">
        <f t="shared" si="12"/>
        <v>1267</v>
      </c>
    </row>
    <row r="87" spans="1:10" s="7" customFormat="1" x14ac:dyDescent="0.2">
      <c r="B87" s="7" t="s">
        <v>18</v>
      </c>
      <c r="F87" s="14">
        <f>-584*2</f>
        <v>-1168</v>
      </c>
      <c r="G87" s="14">
        <v>0</v>
      </c>
      <c r="H87" s="14">
        <v>0</v>
      </c>
      <c r="I87" s="11">
        <v>0</v>
      </c>
      <c r="J87" s="11">
        <f t="shared" si="12"/>
        <v>0</v>
      </c>
    </row>
    <row r="88" spans="1:10" s="7" customFormat="1" x14ac:dyDescent="0.2">
      <c r="B88" s="7" t="s">
        <v>6</v>
      </c>
      <c r="F88" s="14">
        <f>-65973*2</f>
        <v>-131946</v>
      </c>
      <c r="G88" s="14">
        <v>-140</v>
      </c>
      <c r="H88" s="14">
        <v>-2906</v>
      </c>
      <c r="I88" s="11">
        <v>0</v>
      </c>
      <c r="J88" s="11">
        <f t="shared" si="12"/>
        <v>-3046</v>
      </c>
    </row>
    <row r="89" spans="1:10" s="7" customFormat="1" x14ac:dyDescent="0.2">
      <c r="B89" s="7" t="s">
        <v>19</v>
      </c>
      <c r="F89" s="14">
        <f>-4951*2</f>
        <v>-9902</v>
      </c>
      <c r="G89" s="14">
        <v>-12</v>
      </c>
      <c r="H89" s="14">
        <v>-207</v>
      </c>
      <c r="I89" s="11">
        <v>0</v>
      </c>
      <c r="J89" s="11">
        <f t="shared" si="12"/>
        <v>-219</v>
      </c>
    </row>
    <row r="90" spans="1:10" s="7" customFormat="1" ht="13.5" thickBot="1" x14ac:dyDescent="0.25">
      <c r="A90" s="8" t="s">
        <v>36</v>
      </c>
      <c r="B90" s="8"/>
      <c r="C90" s="8"/>
      <c r="D90" s="8"/>
      <c r="E90" s="8"/>
      <c r="F90" s="12">
        <f>SUM(F81:F89)</f>
        <v>27863444</v>
      </c>
      <c r="G90" s="13">
        <f>SUM(G81:G89)</f>
        <v>25838</v>
      </c>
      <c r="H90" s="13">
        <f>SUM(H81:H89)</f>
        <v>164403</v>
      </c>
      <c r="I90" s="13">
        <f>SUM(I81:I89)</f>
        <v>0</v>
      </c>
      <c r="J90" s="13">
        <f>SUM(J81:J89)</f>
        <v>190241</v>
      </c>
    </row>
    <row r="91" spans="1:10" s="10" customFormat="1" x14ac:dyDescent="0.2">
      <c r="A91" s="7"/>
      <c r="B91" s="7" t="s">
        <v>22</v>
      </c>
      <c r="C91" s="7"/>
      <c r="D91" s="7"/>
      <c r="E91" s="7"/>
      <c r="F91" s="14">
        <v>0</v>
      </c>
      <c r="G91" s="14">
        <v>0</v>
      </c>
      <c r="H91" s="14">
        <v>47027</v>
      </c>
      <c r="I91" s="11">
        <v>0</v>
      </c>
      <c r="J91" s="11">
        <f t="shared" ref="J91:J100" si="13">SUM(G91:I91)</f>
        <v>47027</v>
      </c>
    </row>
    <row r="92" spans="1:10" s="10" customFormat="1" x14ac:dyDescent="0.2">
      <c r="A92" s="7"/>
      <c r="B92" s="2" t="s">
        <v>24</v>
      </c>
      <c r="C92" s="7"/>
      <c r="D92" s="7"/>
      <c r="E92" s="7"/>
      <c r="F92" s="14">
        <v>0</v>
      </c>
      <c r="G92" s="14">
        <v>0</v>
      </c>
      <c r="H92" s="14">
        <v>3787</v>
      </c>
      <c r="I92" s="11"/>
      <c r="J92" s="11">
        <f t="shared" si="13"/>
        <v>3787</v>
      </c>
    </row>
    <row r="93" spans="1:10" s="10" customFormat="1" x14ac:dyDescent="0.2">
      <c r="A93" s="7"/>
      <c r="B93" s="7" t="s">
        <v>25</v>
      </c>
      <c r="C93" s="7"/>
      <c r="D93" s="7"/>
      <c r="E93" s="7"/>
      <c r="F93" s="14">
        <v>0</v>
      </c>
      <c r="G93" s="14">
        <v>0</v>
      </c>
      <c r="H93" s="14">
        <v>-18650</v>
      </c>
      <c r="I93" s="11">
        <v>0</v>
      </c>
      <c r="J93" s="11">
        <f t="shared" si="13"/>
        <v>-18650</v>
      </c>
    </row>
    <row r="94" spans="1:10" s="10" customFormat="1" x14ac:dyDescent="0.2">
      <c r="A94" s="7"/>
      <c r="B94" s="7" t="s">
        <v>17</v>
      </c>
      <c r="C94" s="7"/>
      <c r="D94" s="7"/>
      <c r="E94" s="7"/>
      <c r="F94" s="14">
        <f>6467*2</f>
        <v>12934</v>
      </c>
      <c r="G94" s="14">
        <v>340</v>
      </c>
      <c r="H94" s="14">
        <v>0</v>
      </c>
      <c r="I94" s="11">
        <v>0</v>
      </c>
      <c r="J94" s="11">
        <f t="shared" si="13"/>
        <v>340</v>
      </c>
    </row>
    <row r="95" spans="1:10" s="10" customFormat="1" x14ac:dyDescent="0.2">
      <c r="A95" s="7"/>
      <c r="B95" s="7" t="s">
        <v>10</v>
      </c>
      <c r="C95" s="7"/>
      <c r="D95" s="7"/>
      <c r="E95" s="7"/>
      <c r="F95" s="14">
        <f>50745*2</f>
        <v>101490</v>
      </c>
      <c r="G95" s="14">
        <v>0</v>
      </c>
      <c r="H95" s="14">
        <v>0</v>
      </c>
      <c r="I95" s="11">
        <v>0</v>
      </c>
      <c r="J95" s="11">
        <f t="shared" si="13"/>
        <v>0</v>
      </c>
    </row>
    <row r="96" spans="1:10" s="10" customFormat="1" x14ac:dyDescent="0.2">
      <c r="A96" s="7"/>
      <c r="B96" s="7" t="s">
        <v>11</v>
      </c>
      <c r="C96" s="7"/>
      <c r="D96" s="7"/>
      <c r="E96" s="7"/>
      <c r="F96" s="14">
        <v>0</v>
      </c>
      <c r="G96" s="14">
        <v>2400</v>
      </c>
      <c r="H96" s="14">
        <v>0</v>
      </c>
      <c r="I96" s="11">
        <v>0</v>
      </c>
      <c r="J96" s="11">
        <f t="shared" si="13"/>
        <v>2400</v>
      </c>
    </row>
    <row r="97" spans="1:10" s="10" customFormat="1" hidden="1" x14ac:dyDescent="0.2">
      <c r="A97" s="7"/>
      <c r="B97" s="7" t="s">
        <v>12</v>
      </c>
      <c r="C97" s="7"/>
      <c r="D97" s="7"/>
      <c r="E97" s="7"/>
      <c r="F97" s="14">
        <v>0</v>
      </c>
      <c r="G97" s="14">
        <v>0</v>
      </c>
      <c r="H97" s="14">
        <v>0</v>
      </c>
      <c r="I97" s="11">
        <v>0</v>
      </c>
      <c r="J97" s="11">
        <f t="shared" si="13"/>
        <v>0</v>
      </c>
    </row>
    <row r="98" spans="1:10" s="10" customFormat="1" x14ac:dyDescent="0.2">
      <c r="A98" s="7"/>
      <c r="B98" s="7" t="s">
        <v>26</v>
      </c>
      <c r="C98" s="7"/>
      <c r="D98" s="7"/>
      <c r="E98" s="7"/>
      <c r="F98" s="14">
        <v>0</v>
      </c>
      <c r="G98" s="14">
        <v>0</v>
      </c>
      <c r="H98" s="14">
        <v>1238</v>
      </c>
      <c r="I98" s="11">
        <v>3617</v>
      </c>
      <c r="J98" s="11">
        <f t="shared" si="13"/>
        <v>4855</v>
      </c>
    </row>
    <row r="99" spans="1:10" s="10" customFormat="1" x14ac:dyDescent="0.2">
      <c r="A99" s="7"/>
      <c r="B99" s="7" t="s">
        <v>6</v>
      </c>
      <c r="C99" s="7"/>
      <c r="D99" s="7"/>
      <c r="E99" s="7"/>
      <c r="F99" s="14">
        <f>-133673*2</f>
        <v>-267346</v>
      </c>
      <c r="G99" s="14">
        <v>-305</v>
      </c>
      <c r="H99" s="14">
        <v>-6478</v>
      </c>
      <c r="I99" s="11">
        <v>0</v>
      </c>
      <c r="J99" s="11">
        <f t="shared" si="13"/>
        <v>-6783</v>
      </c>
    </row>
    <row r="100" spans="1:10" s="10" customFormat="1" x14ac:dyDescent="0.2">
      <c r="A100" s="7"/>
      <c r="B100" s="7" t="s">
        <v>19</v>
      </c>
      <c r="C100" s="7"/>
      <c r="D100" s="7"/>
      <c r="E100" s="7"/>
      <c r="F100" s="14">
        <f>-8893*2</f>
        <v>-17786</v>
      </c>
      <c r="G100" s="14">
        <v>-20</v>
      </c>
      <c r="H100" s="14">
        <v>-412</v>
      </c>
      <c r="I100" s="11">
        <v>0</v>
      </c>
      <c r="J100" s="11">
        <f t="shared" si="13"/>
        <v>-432</v>
      </c>
    </row>
    <row r="101" spans="1:10" s="10" customFormat="1" ht="13.5" thickBot="1" x14ac:dyDescent="0.25">
      <c r="A101" s="8" t="s">
        <v>37</v>
      </c>
      <c r="B101" s="8"/>
      <c r="C101" s="8"/>
      <c r="D101" s="8"/>
      <c r="E101" s="8"/>
      <c r="F101" s="12">
        <f>SUM(F90:F100)</f>
        <v>27692736</v>
      </c>
      <c r="G101" s="13">
        <f>SUM(G90:G100)</f>
        <v>28253</v>
      </c>
      <c r="H101" s="13">
        <f>SUM(H90:H100)</f>
        <v>190915</v>
      </c>
      <c r="I101" s="13">
        <f>SUM(I90:I100)</f>
        <v>3617</v>
      </c>
      <c r="J101" s="13">
        <f>SUM(J90:J100)</f>
        <v>222785</v>
      </c>
    </row>
    <row r="102" spans="1:10" s="10" customFormat="1" x14ac:dyDescent="0.2">
      <c r="A102" s="7"/>
      <c r="B102" s="7" t="s">
        <v>5</v>
      </c>
      <c r="C102" s="7"/>
      <c r="D102" s="7"/>
      <c r="E102" s="7"/>
      <c r="F102" s="14">
        <v>0</v>
      </c>
      <c r="G102" s="14">
        <v>0</v>
      </c>
      <c r="H102" s="14">
        <v>52846</v>
      </c>
      <c r="I102" s="11">
        <v>0</v>
      </c>
      <c r="J102" s="11">
        <f t="shared" ref="J102:J110" si="14">SUM(G102:I102)</f>
        <v>52846</v>
      </c>
    </row>
    <row r="103" spans="1:10" s="10" customFormat="1" x14ac:dyDescent="0.2">
      <c r="A103" s="7"/>
      <c r="B103" s="7" t="s">
        <v>27</v>
      </c>
      <c r="C103" s="7"/>
      <c r="D103" s="7"/>
      <c r="E103" s="7"/>
      <c r="F103" s="14">
        <v>0</v>
      </c>
      <c r="G103" s="14">
        <v>0</v>
      </c>
      <c r="H103" s="14">
        <v>-21600</v>
      </c>
      <c r="I103" s="11">
        <v>0</v>
      </c>
      <c r="J103" s="11">
        <f t="shared" si="14"/>
        <v>-21600</v>
      </c>
    </row>
    <row r="104" spans="1:10" s="10" customFormat="1" x14ac:dyDescent="0.2">
      <c r="A104" s="7"/>
      <c r="B104" s="7" t="s">
        <v>17</v>
      </c>
      <c r="C104" s="7"/>
      <c r="D104" s="7"/>
      <c r="E104" s="7"/>
      <c r="F104" s="14">
        <v>9940</v>
      </c>
      <c r="G104" s="14">
        <v>435</v>
      </c>
      <c r="H104" s="14">
        <v>0</v>
      </c>
      <c r="I104" s="11">
        <v>0</v>
      </c>
      <c r="J104" s="11">
        <f t="shared" si="14"/>
        <v>435</v>
      </c>
    </row>
    <row r="105" spans="1:10" s="10" customFormat="1" x14ac:dyDescent="0.2">
      <c r="A105" s="7"/>
      <c r="B105" s="7" t="s">
        <v>10</v>
      </c>
      <c r="C105" s="7"/>
      <c r="D105" s="7"/>
      <c r="E105" s="7"/>
      <c r="F105" s="14">
        <v>73438</v>
      </c>
      <c r="G105" s="14">
        <v>0</v>
      </c>
      <c r="H105" s="14">
        <v>0</v>
      </c>
      <c r="I105" s="11">
        <v>0</v>
      </c>
      <c r="J105" s="11">
        <f t="shared" si="14"/>
        <v>0</v>
      </c>
    </row>
    <row r="106" spans="1:10" s="10" customFormat="1" x14ac:dyDescent="0.2">
      <c r="A106" s="7"/>
      <c r="B106" s="7" t="s">
        <v>11</v>
      </c>
      <c r="C106" s="7"/>
      <c r="D106" s="7"/>
      <c r="E106" s="7"/>
      <c r="F106" s="14">
        <v>0</v>
      </c>
      <c r="G106" s="14">
        <v>1751</v>
      </c>
      <c r="H106" s="14">
        <v>0</v>
      </c>
      <c r="I106" s="11">
        <v>0</v>
      </c>
      <c r="J106" s="11">
        <f t="shared" si="14"/>
        <v>1751</v>
      </c>
    </row>
    <row r="107" spans="1:10" s="10" customFormat="1" x14ac:dyDescent="0.2">
      <c r="A107" s="7"/>
      <c r="B107" s="7" t="s">
        <v>18</v>
      </c>
      <c r="C107" s="7"/>
      <c r="D107" s="7"/>
      <c r="E107" s="7"/>
      <c r="F107" s="14">
        <v>-3475</v>
      </c>
      <c r="G107" s="14">
        <v>0</v>
      </c>
      <c r="H107" s="14">
        <v>0</v>
      </c>
      <c r="I107" s="11">
        <v>0</v>
      </c>
      <c r="J107" s="11">
        <f t="shared" si="14"/>
        <v>0</v>
      </c>
    </row>
    <row r="108" spans="1:10" s="10" customFormat="1" x14ac:dyDescent="0.2">
      <c r="A108" s="7"/>
      <c r="B108" s="7" t="s">
        <v>26</v>
      </c>
      <c r="C108" s="7"/>
      <c r="D108" s="7"/>
      <c r="E108" s="7"/>
      <c r="F108" s="14">
        <v>0</v>
      </c>
      <c r="G108" s="14">
        <v>0</v>
      </c>
      <c r="H108" s="14">
        <v>0</v>
      </c>
      <c r="I108" s="11">
        <v>-1662</v>
      </c>
      <c r="J108" s="11">
        <f t="shared" si="14"/>
        <v>-1662</v>
      </c>
    </row>
    <row r="109" spans="1:10" s="10" customFormat="1" x14ac:dyDescent="0.2">
      <c r="A109" s="7"/>
      <c r="B109" s="7" t="s">
        <v>6</v>
      </c>
      <c r="C109" s="7"/>
      <c r="D109" s="7"/>
      <c r="E109" s="7"/>
      <c r="F109" s="14">
        <v>-102206</v>
      </c>
      <c r="G109" s="14">
        <v>-126</v>
      </c>
      <c r="H109" s="14">
        <v>-3769</v>
      </c>
      <c r="I109" s="11">
        <v>0</v>
      </c>
      <c r="J109" s="11">
        <f t="shared" si="14"/>
        <v>-3895</v>
      </c>
    </row>
    <row r="110" spans="1:10" s="10" customFormat="1" x14ac:dyDescent="0.2">
      <c r="A110" s="7"/>
      <c r="B110" s="7" t="s">
        <v>19</v>
      </c>
      <c r="C110" s="7"/>
      <c r="D110" s="7"/>
      <c r="E110" s="7"/>
      <c r="F110" s="14">
        <v>-15568</v>
      </c>
      <c r="G110" s="14">
        <v>-18</v>
      </c>
      <c r="H110" s="14">
        <v>-527</v>
      </c>
      <c r="I110" s="11">
        <v>0</v>
      </c>
      <c r="J110" s="11">
        <f t="shared" si="14"/>
        <v>-545</v>
      </c>
    </row>
    <row r="111" spans="1:10" s="10" customFormat="1" ht="13.5" thickBot="1" x14ac:dyDescent="0.25">
      <c r="A111" s="8" t="s">
        <v>38</v>
      </c>
      <c r="B111" s="8"/>
      <c r="C111" s="8"/>
      <c r="D111" s="8"/>
      <c r="E111" s="8"/>
      <c r="F111" s="12">
        <f>SUM(F101:F110)</f>
        <v>27654865</v>
      </c>
      <c r="G111" s="13">
        <f>SUM(G101:G110)</f>
        <v>30295</v>
      </c>
      <c r="H111" s="13">
        <f>SUM(H101:H110)</f>
        <v>217865</v>
      </c>
      <c r="I111" s="13">
        <f>SUM(I101:I110)</f>
        <v>1955</v>
      </c>
      <c r="J111" s="13">
        <f>SUM(J101:J110)</f>
        <v>250115</v>
      </c>
    </row>
    <row r="114" spans="6:10" x14ac:dyDescent="0.2">
      <c r="F114" s="18"/>
      <c r="G114" s="18"/>
      <c r="H114" s="18"/>
      <c r="I114" s="18"/>
      <c r="J114" s="18"/>
    </row>
    <row r="115" spans="6:10" x14ac:dyDescent="0.2">
      <c r="F115" s="18"/>
      <c r="G115" s="18"/>
      <c r="H115" s="18"/>
      <c r="I115" s="18"/>
      <c r="J115" s="18"/>
    </row>
  </sheetData>
  <mergeCells count="4">
    <mergeCell ref="F5:G5"/>
    <mergeCell ref="A1:J1"/>
    <mergeCell ref="A2:J2"/>
    <mergeCell ref="A3:J3"/>
  </mergeCells>
  <phoneticPr fontId="0" type="noConversion"/>
  <printOptions horizontalCentered="1"/>
  <pageMargins left="0.7" right="0.43" top="0.22" bottom="0.26" header="0.2" footer="0.2"/>
  <pageSetup scale="48" orientation="portrait" horizontalDpi="300" verticalDpi="300" r:id="rId1"/>
  <headerFooter alignWithMargins="0"/>
  <ignoredErrors>
    <ignoredError sqref="J91:J100" formulaRange="1"/>
    <ignoredError sqref="J82:J89 J73:J79 J18:J70" formula="1" formulaRange="1"/>
    <ignoredError sqref="J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Stmts of SH Equity</vt:lpstr>
      <vt:lpstr>'Stmts of SH Equity'!Print_Titles</vt:lpstr>
    </vt:vector>
  </TitlesOfParts>
  <Company>Computer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Simon</dc:creator>
  <cp:lastModifiedBy>Wendy Heavrin</cp:lastModifiedBy>
  <cp:lastPrinted>2020-05-13T00:19:47Z</cp:lastPrinted>
  <dcterms:created xsi:type="dcterms:W3CDTF">2004-05-11T15:52:14Z</dcterms:created>
  <dcterms:modified xsi:type="dcterms:W3CDTF">2020-05-13T00:35:29Z</dcterms:modified>
</cp:coreProperties>
</file>